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b1files\LPDC\group\Manuscript Submissions\Lorenz\Nature Chemistry\First revision submission part III\Source Data\"/>
    </mc:Choice>
  </mc:AlternateContent>
  <xr:revisionPtr revIDLastSave="0" documentId="13_ncr:1_{ABC412E5-644A-415A-A59F-20D8FF1F3D9D}" xr6:coauthVersionLast="36" xr6:coauthVersionMax="36" xr10:uidLastSave="{00000000-0000-0000-0000-000000000000}"/>
  <bookViews>
    <workbookView xWindow="0" yWindow="0" windowWidth="19200" windowHeight="8150" xr2:uid="{29A566C2-3037-4979-BA98-F903094D4CB8}"/>
  </bookViews>
  <sheets>
    <sheet name="Kinetics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2" l="1"/>
  <c r="M28" i="2" s="1"/>
  <c r="I28" i="2"/>
  <c r="E28" i="2"/>
  <c r="G28" i="2" s="1"/>
  <c r="H28" i="2" s="1"/>
  <c r="I27" i="2"/>
  <c r="F27" i="2"/>
  <c r="K27" i="2" s="1"/>
  <c r="L27" i="2" s="1"/>
  <c r="M27" i="2" s="1"/>
  <c r="E27" i="2"/>
  <c r="I26" i="2"/>
  <c r="F26" i="2"/>
  <c r="K26" i="2" s="1"/>
  <c r="L26" i="2" s="1"/>
  <c r="M26" i="2" s="1"/>
  <c r="E26" i="2"/>
  <c r="I25" i="2"/>
  <c r="F25" i="2"/>
  <c r="K25" i="2" s="1"/>
  <c r="L25" i="2" s="1"/>
  <c r="M25" i="2" s="1"/>
  <c r="E25" i="2"/>
  <c r="I24" i="2"/>
  <c r="E24" i="2"/>
  <c r="F24" i="2"/>
  <c r="K24" i="2" s="1"/>
  <c r="L24" i="2" s="1"/>
  <c r="M24" i="2" s="1"/>
  <c r="J28" i="2" l="1"/>
  <c r="G26" i="2"/>
  <c r="H26" i="2" s="1"/>
  <c r="J26" i="2" s="1"/>
  <c r="G25" i="2"/>
  <c r="H25" i="2" s="1"/>
  <c r="J25" i="2" s="1"/>
  <c r="G27" i="2"/>
  <c r="H27" i="2" s="1"/>
  <c r="J27" i="2" s="1"/>
  <c r="G24" i="2"/>
  <c r="H24" i="2" s="1"/>
  <c r="J24" i="2" s="1"/>
  <c r="AJ11" i="2"/>
  <c r="AJ12" i="2"/>
  <c r="AJ13" i="2"/>
  <c r="AJ14" i="2"/>
  <c r="AJ15" i="2"/>
  <c r="AJ10" i="2"/>
  <c r="X11" i="2"/>
  <c r="X12" i="2"/>
  <c r="X13" i="2"/>
  <c r="X14" i="2"/>
  <c r="X15" i="2"/>
  <c r="X10" i="2"/>
  <c r="M10" i="2"/>
  <c r="M11" i="2"/>
  <c r="M12" i="2"/>
  <c r="M13" i="2"/>
  <c r="M14" i="2"/>
  <c r="M15" i="2"/>
  <c r="B13" i="2"/>
  <c r="B14" i="2"/>
  <c r="B15" i="2"/>
  <c r="AT9" i="2"/>
  <c r="AU9" i="2" s="1"/>
  <c r="AS9" i="2"/>
  <c r="AR9" i="2"/>
  <c r="AR10" i="2" s="1"/>
  <c r="AR11" i="2" s="1"/>
  <c r="AR12" i="2" s="1"/>
  <c r="AR13" i="2" s="1"/>
  <c r="AR14" i="2" s="1"/>
  <c r="AR15" i="2" s="1"/>
  <c r="Y11" i="2" l="1"/>
  <c r="N13" i="2"/>
  <c r="N12" i="2"/>
  <c r="N11" i="2"/>
  <c r="N15" i="2"/>
  <c r="N10" i="2"/>
  <c r="N14" i="2"/>
  <c r="AK10" i="2"/>
  <c r="AK14" i="2"/>
  <c r="AK12" i="2"/>
  <c r="AK11" i="2"/>
  <c r="AK15" i="2"/>
  <c r="Y12" i="2"/>
  <c r="Y10" i="2"/>
  <c r="Y15" i="2"/>
  <c r="AK13" i="2"/>
  <c r="Y14" i="2"/>
  <c r="Y13" i="2"/>
  <c r="AS11" i="2" l="1"/>
  <c r="AS13" i="2"/>
  <c r="AT14" i="2"/>
  <c r="AU14" i="2" s="1"/>
  <c r="AS12" i="2"/>
  <c r="AT10" i="2"/>
  <c r="AU10" i="2" s="1"/>
  <c r="AS10" i="2"/>
  <c r="AT15" i="2"/>
  <c r="AU15" i="2" s="1"/>
  <c r="AT13" i="2"/>
  <c r="AU13" i="2" s="1"/>
  <c r="AS14" i="2"/>
  <c r="AS15" i="2"/>
  <c r="AT12" i="2"/>
  <c r="AU12" i="2" s="1"/>
  <c r="AT11" i="2"/>
  <c r="AU11" i="2" s="1"/>
  <c r="AD15" i="2" l="1"/>
  <c r="AF15" i="2" s="1"/>
  <c r="AG15" i="2" s="1"/>
  <c r="R15" i="2"/>
  <c r="T15" i="2" s="1"/>
  <c r="U15" i="2" s="1"/>
  <c r="G15" i="2"/>
  <c r="I15" i="2" s="1"/>
  <c r="J15" i="2" s="1"/>
  <c r="B11" i="2"/>
  <c r="B12" i="2"/>
  <c r="B10" i="2"/>
  <c r="AD14" i="2"/>
  <c r="AF14" i="2" s="1"/>
  <c r="AG14" i="2" s="1"/>
  <c r="R14" i="2"/>
  <c r="T14" i="2" s="1"/>
  <c r="U14" i="2" s="1"/>
  <c r="G14" i="2"/>
  <c r="I14" i="2" s="1"/>
  <c r="G12" i="2"/>
  <c r="I12" i="2" s="1"/>
  <c r="J12" i="2" s="1"/>
  <c r="AD13" i="2"/>
  <c r="AF13" i="2" s="1"/>
  <c r="AG13" i="2" s="1"/>
  <c r="R13" i="2"/>
  <c r="T13" i="2" s="1"/>
  <c r="U13" i="2" s="1"/>
  <c r="G13" i="2"/>
  <c r="I13" i="2" s="1"/>
  <c r="J13" i="2" s="1"/>
  <c r="AD12" i="2"/>
  <c r="AF12" i="2" s="1"/>
  <c r="AG12" i="2" s="1"/>
  <c r="R12" i="2"/>
  <c r="T12" i="2" s="1"/>
  <c r="U12" i="2" s="1"/>
  <c r="AD11" i="2"/>
  <c r="AF11" i="2" s="1"/>
  <c r="AG11" i="2" s="1"/>
  <c r="R11" i="2"/>
  <c r="T11" i="2" s="1"/>
  <c r="U11" i="2" s="1"/>
  <c r="G11" i="2"/>
  <c r="I11" i="2" s="1"/>
  <c r="J11" i="2" s="1"/>
  <c r="AM9" i="2"/>
  <c r="AM10" i="2" s="1"/>
  <c r="AM11" i="2" s="1"/>
  <c r="AM12" i="2" s="1"/>
  <c r="AM13" i="2" s="1"/>
  <c r="AM14" i="2" s="1"/>
  <c r="AM15" i="2" s="1"/>
  <c r="AC9" i="2"/>
  <c r="AC10" i="2" s="1"/>
  <c r="AC11" i="2" s="1"/>
  <c r="AC12" i="2" s="1"/>
  <c r="AC13" i="2" s="1"/>
  <c r="AC14" i="2" s="1"/>
  <c r="AC15" i="2" s="1"/>
  <c r="Q9" i="2"/>
  <c r="Q10" i="2" s="1"/>
  <c r="Q11" i="2" s="1"/>
  <c r="Q12" i="2" s="1"/>
  <c r="Q13" i="2" s="1"/>
  <c r="Q14" i="2" s="1"/>
  <c r="Q15" i="2" s="1"/>
  <c r="F9" i="2"/>
  <c r="F10" i="2" s="1"/>
  <c r="F11" i="2" s="1"/>
  <c r="F12" i="2" s="1"/>
  <c r="F13" i="2" s="1"/>
  <c r="F14" i="2" s="1"/>
  <c r="F15" i="2" s="1"/>
  <c r="AD10" i="2"/>
  <c r="AF10" i="2" s="1"/>
  <c r="AG10" i="2" s="1"/>
  <c r="R10" i="2"/>
  <c r="T10" i="2" s="1"/>
  <c r="U10" i="2" s="1"/>
  <c r="G10" i="2"/>
  <c r="I10" i="2" s="1"/>
  <c r="J10" i="2" s="1"/>
  <c r="AD9" i="2"/>
  <c r="AF9" i="2" s="1"/>
  <c r="AG9" i="2" s="1"/>
  <c r="R9" i="2"/>
  <c r="T9" i="2" s="1"/>
  <c r="U9" i="2" s="1"/>
  <c r="G9" i="2"/>
  <c r="V15" i="2" l="1"/>
  <c r="K15" i="2"/>
  <c r="AH15" i="2"/>
  <c r="J14" i="2"/>
  <c r="V11" i="2"/>
  <c r="AH10" i="2"/>
  <c r="I9" i="2"/>
  <c r="K14" i="2" l="1"/>
  <c r="AO15" i="2"/>
  <c r="AP15" i="2" s="1"/>
  <c r="AN15" i="2"/>
  <c r="J9" i="2"/>
  <c r="K9" i="2" s="1"/>
  <c r="AH13" i="2"/>
  <c r="K10" i="2"/>
  <c r="K12" i="2"/>
  <c r="V12" i="2"/>
  <c r="K13" i="2"/>
  <c r="V14" i="2"/>
  <c r="V13" i="2"/>
  <c r="AH14" i="2"/>
  <c r="AH12" i="2"/>
  <c r="AH11" i="2"/>
  <c r="K11" i="2"/>
  <c r="AH9" i="2"/>
  <c r="V9" i="2"/>
  <c r="V10" i="2"/>
  <c r="AN14" i="2" l="1"/>
  <c r="AO11" i="2"/>
  <c r="AP11" i="2" s="1"/>
  <c r="AN10" i="2"/>
  <c r="AO14" i="2"/>
  <c r="AP14" i="2" s="1"/>
  <c r="AO13" i="2"/>
  <c r="AP13" i="2" s="1"/>
  <c r="AN13" i="2"/>
  <c r="AO12" i="2"/>
  <c r="AP12" i="2" s="1"/>
  <c r="AN12" i="2"/>
  <c r="AO9" i="2"/>
  <c r="AP9" i="2" s="1"/>
  <c r="AO10" i="2"/>
  <c r="AP10" i="2" s="1"/>
  <c r="AN11" i="2"/>
  <c r="AN9" i="2"/>
</calcChain>
</file>

<file path=xl/sharedStrings.xml><?xml version="1.0" encoding="utf-8"?>
<sst xmlns="http://schemas.openxmlformats.org/spreadsheetml/2006/main" count="92" uniqueCount="50">
  <si>
    <t>Time</t>
  </si>
  <si>
    <t>Sample</t>
  </si>
  <si>
    <t>S1</t>
  </si>
  <si>
    <t>S2</t>
  </si>
  <si>
    <t>S3</t>
  </si>
  <si>
    <t>S4</t>
  </si>
  <si>
    <t>S5</t>
  </si>
  <si>
    <t>S7</t>
  </si>
  <si>
    <t>DF</t>
  </si>
  <si>
    <t>GC Area</t>
  </si>
  <si>
    <t>g/L</t>
  </si>
  <si>
    <t>Mass DMGX</t>
  </si>
  <si>
    <t>Yield DMGX</t>
  </si>
  <si>
    <t>Date</t>
  </si>
  <si>
    <t>Notebook</t>
  </si>
  <si>
    <t>2 page 4</t>
  </si>
  <si>
    <t>25 mM H2SO5 Methanol Replicate 1</t>
  </si>
  <si>
    <t>Polymer</t>
  </si>
  <si>
    <t>Mass PAX 25 mM rep1</t>
  </si>
  <si>
    <t>Mass PAX 25 mM rep2</t>
  </si>
  <si>
    <t>Mass PAX 25 mM rep3</t>
  </si>
  <si>
    <t>Theoretical DMGX rep 1</t>
  </si>
  <si>
    <t>Theoretical DMGX rep 2</t>
  </si>
  <si>
    <t>Theoretical DMGX rep 3</t>
  </si>
  <si>
    <t>Time (hr)</t>
  </si>
  <si>
    <t>25 mM H2SO5 Methanol Replicate 2</t>
  </si>
  <si>
    <t>25 mM H2SO5 Methanol Replicate 3</t>
  </si>
  <si>
    <t>Yield</t>
  </si>
  <si>
    <t>STD</t>
  </si>
  <si>
    <t>S6</t>
  </si>
  <si>
    <t>GC area hexanediol</t>
  </si>
  <si>
    <t>Mass Hex</t>
  </si>
  <si>
    <t>Theoretical hex rep 1</t>
  </si>
  <si>
    <t>Theoretical hex rep 2</t>
  </si>
  <si>
    <t>Theoretical hex rep 3</t>
  </si>
  <si>
    <t>Yield Hex</t>
  </si>
  <si>
    <t>GC AREA</t>
  </si>
  <si>
    <t>Conc. (g/L)</t>
  </si>
  <si>
    <t>Theor. Mass</t>
  </si>
  <si>
    <t>Notebook 2 page 9</t>
  </si>
  <si>
    <t>4 h</t>
  </si>
  <si>
    <t>6 h</t>
  </si>
  <si>
    <t>7.33 h</t>
  </si>
  <si>
    <t>Samples</t>
  </si>
  <si>
    <t>Figure 4 A (mixed plastics)</t>
  </si>
  <si>
    <t>Figure 4 B (In Isolation)</t>
  </si>
  <si>
    <t>filtrate final</t>
  </si>
  <si>
    <t>Yield Hex (%)</t>
  </si>
  <si>
    <t>Yield DMGX (%)</t>
  </si>
  <si>
    <t>PHX (L.S. pol 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</si>
</sst>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2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5" borderId="0" xfId="0" applyNumberFormat="1" applyFont="1" applyFill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2" fontId="1" fillId="5" borderId="0" xfId="0" applyNumberFormat="1" applyFont="1" applyFill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Kinetics!$AP$8:$AP$15</c:f>
                <c:numCache>
                  <c:formatCode>General</c:formatCode>
                  <c:ptCount val="8"/>
                  <c:pt idx="1">
                    <c:v>1.14710329654813</c:v>
                  </c:pt>
                  <c:pt idx="2">
                    <c:v>5.3145491411147692</c:v>
                  </c:pt>
                  <c:pt idx="3">
                    <c:v>0.82675977858182037</c:v>
                  </c:pt>
                  <c:pt idx="4">
                    <c:v>1.8669292112740907</c:v>
                  </c:pt>
                  <c:pt idx="5">
                    <c:v>1.319403059149346</c:v>
                  </c:pt>
                  <c:pt idx="6">
                    <c:v>0.78840639265571633</c:v>
                  </c:pt>
                  <c:pt idx="7">
                    <c:v>1.8683219071826778</c:v>
                  </c:pt>
                </c:numCache>
              </c:numRef>
            </c:plus>
            <c:minus>
              <c:numRef>
                <c:f>Kinetics!$AP$8:$AP$15</c:f>
                <c:numCache>
                  <c:formatCode>General</c:formatCode>
                  <c:ptCount val="8"/>
                  <c:pt idx="1">
                    <c:v>1.14710329654813</c:v>
                  </c:pt>
                  <c:pt idx="2">
                    <c:v>5.3145491411147692</c:v>
                  </c:pt>
                  <c:pt idx="3">
                    <c:v>0.82675977858182037</c:v>
                  </c:pt>
                  <c:pt idx="4">
                    <c:v>1.8669292112740907</c:v>
                  </c:pt>
                  <c:pt idx="5">
                    <c:v>1.319403059149346</c:v>
                  </c:pt>
                  <c:pt idx="6">
                    <c:v>0.78840639265571633</c:v>
                  </c:pt>
                  <c:pt idx="7">
                    <c:v>1.8683219071826778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Kinetics!$AM$8:$AM$15</c:f>
              <c:numCache>
                <c:formatCode>0.00</c:formatCode>
                <c:ptCount val="8"/>
                <c:pt idx="0">
                  <c:v>0</c:v>
                </c:pt>
                <c:pt idx="1">
                  <c:v>1.0833333333333333</c:v>
                </c:pt>
                <c:pt idx="2">
                  <c:v>2.083333333333333</c:v>
                </c:pt>
                <c:pt idx="3">
                  <c:v>3.083333333333333</c:v>
                </c:pt>
                <c:pt idx="4">
                  <c:v>4.083333333333333</c:v>
                </c:pt>
                <c:pt idx="5">
                  <c:v>5.083333333333333</c:v>
                </c:pt>
                <c:pt idx="6">
                  <c:v>6.083333333333333</c:v>
                </c:pt>
                <c:pt idx="7">
                  <c:v>7.083333333333333</c:v>
                </c:pt>
              </c:numCache>
            </c:numRef>
          </c:xVal>
          <c:yVal>
            <c:numRef>
              <c:f>Kinetics!$AN$8:$AN$15</c:f>
              <c:numCache>
                <c:formatCode>0.00</c:formatCode>
                <c:ptCount val="8"/>
                <c:pt idx="0">
                  <c:v>0</c:v>
                </c:pt>
                <c:pt idx="1">
                  <c:v>11.5469077525642</c:v>
                </c:pt>
                <c:pt idx="2">
                  <c:v>71.359157268886861</c:v>
                </c:pt>
                <c:pt idx="3">
                  <c:v>88.339912281034529</c:v>
                </c:pt>
                <c:pt idx="4">
                  <c:v>93.469872584879383</c:v>
                </c:pt>
                <c:pt idx="5">
                  <c:v>92.755691598177407</c:v>
                </c:pt>
                <c:pt idx="6">
                  <c:v>93.238756598447765</c:v>
                </c:pt>
                <c:pt idx="7">
                  <c:v>92.577538375158028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A4-405C-A668-4E15AF302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510456"/>
        <c:axId val="864514064"/>
      </c:scatterChart>
      <c:valAx>
        <c:axId val="864510456"/>
        <c:scaling>
          <c:orientation val="minMax"/>
        </c:scaling>
        <c:delete val="0"/>
        <c:axPos val="b"/>
        <c:numFmt formatCode="0.0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14064"/>
        <c:crosses val="autoZero"/>
        <c:crossBetween val="midCat"/>
      </c:valAx>
      <c:valAx>
        <c:axId val="864514064"/>
        <c:scaling>
          <c:orientation val="minMax"/>
          <c:max val="100"/>
        </c:scaling>
        <c:delete val="0"/>
        <c:axPos val="l"/>
        <c:numFmt formatCode="0.0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10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153761</xdr:colOff>
      <xdr:row>18</xdr:row>
      <xdr:rowOff>76425</xdr:rowOff>
    </xdr:from>
    <xdr:to>
      <xdr:col>28</xdr:col>
      <xdr:colOff>432707</xdr:colOff>
      <xdr:row>46</xdr:row>
      <xdr:rowOff>24038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963350-E9B1-4F2D-83D2-8D05E76568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nker\Dropbox\Lab\Cal%20Curves\CalCurves_ProtectedSugars%20(Autosav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LC-RID"/>
      <sheetName val="GC-FID"/>
    </sheetNames>
    <sheetDataSet>
      <sheetData sheetId="0"/>
      <sheetData sheetId="1">
        <row r="7">
          <cell r="E7">
            <v>21.46</v>
          </cell>
          <cell r="F7">
            <v>2199.377</v>
          </cell>
        </row>
        <row r="8">
          <cell r="E8">
            <v>12.370000000000001</v>
          </cell>
          <cell r="F8">
            <v>1222.2729999999999</v>
          </cell>
        </row>
        <row r="9">
          <cell r="E9">
            <v>5.01</v>
          </cell>
          <cell r="F9">
            <v>458.35999999999996</v>
          </cell>
        </row>
        <row r="10">
          <cell r="E10">
            <v>0.88400000000000001</v>
          </cell>
          <cell r="F10">
            <v>60.323999999999998</v>
          </cell>
        </row>
        <row r="11">
          <cell r="E11">
            <v>23.36</v>
          </cell>
          <cell r="F11">
            <v>2277.4900000000002</v>
          </cell>
        </row>
        <row r="12">
          <cell r="E12">
            <v>9</v>
          </cell>
          <cell r="F12">
            <v>873.50300000000004</v>
          </cell>
        </row>
        <row r="13">
          <cell r="E13">
            <v>5.0625</v>
          </cell>
          <cell r="F13">
            <v>463.94700000000006</v>
          </cell>
        </row>
        <row r="14">
          <cell r="E14">
            <v>1.089</v>
          </cell>
          <cell r="F14">
            <v>64.069000000000003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2498-2E06-427D-9E63-58D88FB45B97}">
  <dimension ref="A1:AU30"/>
  <sheetViews>
    <sheetView tabSelected="1" zoomScale="70" zoomScaleNormal="70" workbookViewId="0">
      <selection activeCell="AS11" sqref="AS11"/>
    </sheetView>
  </sheetViews>
  <sheetFormatPr defaultRowHeight="15.5" x14ac:dyDescent="0.35"/>
  <cols>
    <col min="1" max="1" width="24.54296875" style="2" bestFit="1" customWidth="1"/>
    <col min="2" max="2" width="29.1796875" style="2" bestFit="1" customWidth="1"/>
    <col min="3" max="3" width="12.26953125" style="2" bestFit="1" customWidth="1"/>
    <col min="4" max="4" width="8.7265625" style="2"/>
    <col min="5" max="5" width="10.6328125" style="2" bestFit="1" customWidth="1"/>
    <col min="6" max="8" width="11.81640625" style="2" bestFit="1" customWidth="1"/>
    <col min="9" max="9" width="8.7265625" style="2"/>
    <col min="10" max="10" width="11.81640625" style="2" bestFit="1" customWidth="1"/>
    <col min="11" max="11" width="10.7265625" style="2" bestFit="1" customWidth="1"/>
    <col min="12" max="12" width="19.1796875" style="2" bestFit="1" customWidth="1"/>
    <col min="13" max="14" width="14.1796875" style="2" bestFit="1" customWidth="1"/>
    <col min="15" max="16" width="8.7265625" style="2"/>
    <col min="17" max="17" width="6.08984375" style="2" bestFit="1" customWidth="1"/>
    <col min="18" max="18" width="8.81640625" style="2" bestFit="1" customWidth="1"/>
    <col min="19" max="19" width="8.54296875" style="2" customWidth="1"/>
    <col min="20" max="20" width="6.54296875" style="2" bestFit="1" customWidth="1"/>
    <col min="21" max="21" width="12.81640625" style="2" bestFit="1" customWidth="1"/>
    <col min="22" max="22" width="12.90625" style="2" bestFit="1" customWidth="1"/>
    <col min="23" max="23" width="18.81640625" style="2" bestFit="1" customWidth="1"/>
    <col min="24" max="24" width="10.08984375" style="2" bestFit="1" customWidth="1"/>
    <col min="25" max="25" width="10.1796875" style="2" bestFit="1" customWidth="1"/>
    <col min="26" max="34" width="8.7265625" style="2"/>
    <col min="35" max="35" width="18.81640625" style="2" bestFit="1" customWidth="1"/>
    <col min="36" max="36" width="10.08984375" style="2" bestFit="1" customWidth="1"/>
    <col min="37" max="37" width="10.1796875" style="2" bestFit="1" customWidth="1"/>
    <col min="38" max="16384" width="8.7265625" style="2"/>
  </cols>
  <sheetData>
    <row r="1" spans="1:47" ht="23" x14ac:dyDescent="0.35">
      <c r="A1" s="1" t="s">
        <v>45</v>
      </c>
    </row>
    <row r="4" spans="1:47" x14ac:dyDescent="0.35">
      <c r="A4" s="14" t="s">
        <v>13</v>
      </c>
      <c r="B4" s="2">
        <v>210106</v>
      </c>
    </row>
    <row r="5" spans="1:47" x14ac:dyDescent="0.35">
      <c r="A5" s="14" t="s">
        <v>14</v>
      </c>
      <c r="B5" s="2" t="s">
        <v>15</v>
      </c>
    </row>
    <row r="6" spans="1:47" x14ac:dyDescent="0.35">
      <c r="A6" s="14" t="s">
        <v>17</v>
      </c>
      <c r="B6" s="2" t="s">
        <v>49</v>
      </c>
    </row>
    <row r="7" spans="1:47" x14ac:dyDescent="0.35">
      <c r="A7" s="14" t="s">
        <v>18</v>
      </c>
      <c r="B7" s="2">
        <v>1.0046999999999999</v>
      </c>
      <c r="E7" s="3" t="s">
        <v>16</v>
      </c>
      <c r="F7" s="3"/>
      <c r="G7" s="3"/>
      <c r="H7" s="3"/>
      <c r="I7" s="3"/>
      <c r="J7" s="3"/>
      <c r="K7" s="3"/>
      <c r="L7" s="4"/>
      <c r="M7" s="4"/>
      <c r="N7" s="4"/>
      <c r="P7" s="3" t="s">
        <v>25</v>
      </c>
      <c r="Q7" s="3"/>
      <c r="R7" s="3"/>
      <c r="S7" s="3"/>
      <c r="T7" s="3"/>
      <c r="U7" s="3"/>
      <c r="V7" s="5"/>
      <c r="W7" s="4"/>
      <c r="X7" s="4"/>
      <c r="Y7" s="4"/>
      <c r="AB7" s="6" t="s">
        <v>26</v>
      </c>
      <c r="AC7" s="6"/>
      <c r="AD7" s="6"/>
      <c r="AE7" s="6"/>
      <c r="AF7" s="6"/>
      <c r="AG7" s="6"/>
      <c r="AH7" s="6"/>
      <c r="AM7" s="7" t="s">
        <v>0</v>
      </c>
      <c r="AN7" s="7" t="s">
        <v>27</v>
      </c>
      <c r="AO7" s="7" t="s">
        <v>28</v>
      </c>
      <c r="AP7" s="7"/>
      <c r="AR7" s="8" t="s">
        <v>0</v>
      </c>
      <c r="AS7" s="8" t="s">
        <v>27</v>
      </c>
      <c r="AT7" s="8" t="s">
        <v>28</v>
      </c>
      <c r="AU7" s="8"/>
    </row>
    <row r="8" spans="1:47" x14ac:dyDescent="0.35">
      <c r="A8" s="14" t="s">
        <v>19</v>
      </c>
      <c r="B8" s="2">
        <v>1.0042</v>
      </c>
      <c r="E8" s="9" t="s">
        <v>1</v>
      </c>
      <c r="F8" s="9" t="s">
        <v>24</v>
      </c>
      <c r="G8" s="9" t="s">
        <v>9</v>
      </c>
      <c r="H8" s="9" t="s">
        <v>8</v>
      </c>
      <c r="I8" s="9" t="s">
        <v>10</v>
      </c>
      <c r="J8" s="9" t="s">
        <v>11</v>
      </c>
      <c r="K8" s="9" t="s">
        <v>12</v>
      </c>
      <c r="L8" s="10" t="s">
        <v>30</v>
      </c>
      <c r="M8" s="10" t="s">
        <v>31</v>
      </c>
      <c r="N8" s="10" t="s">
        <v>35</v>
      </c>
      <c r="P8" s="10" t="s">
        <v>1</v>
      </c>
      <c r="Q8" s="10" t="s">
        <v>0</v>
      </c>
      <c r="R8" s="10" t="s">
        <v>9</v>
      </c>
      <c r="S8" s="10" t="s">
        <v>8</v>
      </c>
      <c r="T8" s="10" t="s">
        <v>10</v>
      </c>
      <c r="U8" s="10" t="s">
        <v>11</v>
      </c>
      <c r="V8" s="10" t="s">
        <v>12</v>
      </c>
      <c r="W8" s="10" t="s">
        <v>30</v>
      </c>
      <c r="X8" s="10" t="s">
        <v>31</v>
      </c>
      <c r="Y8" s="10" t="s">
        <v>35</v>
      </c>
      <c r="AB8" s="11" t="s">
        <v>1</v>
      </c>
      <c r="AC8" s="11" t="s">
        <v>0</v>
      </c>
      <c r="AD8" s="11" t="s">
        <v>9</v>
      </c>
      <c r="AE8" s="11" t="s">
        <v>8</v>
      </c>
      <c r="AF8" s="11" t="s">
        <v>10</v>
      </c>
      <c r="AG8" s="11" t="s">
        <v>11</v>
      </c>
      <c r="AH8" s="11" t="s">
        <v>12</v>
      </c>
      <c r="AI8" s="11" t="s">
        <v>30</v>
      </c>
      <c r="AJ8" s="11" t="s">
        <v>31</v>
      </c>
      <c r="AK8" s="11" t="s">
        <v>35</v>
      </c>
      <c r="AM8" s="12">
        <v>0</v>
      </c>
      <c r="AN8" s="12">
        <v>0</v>
      </c>
      <c r="AO8" s="12">
        <v>0</v>
      </c>
      <c r="AP8" s="12"/>
      <c r="AR8" s="12">
        <v>0</v>
      </c>
      <c r="AS8" s="12">
        <v>0</v>
      </c>
      <c r="AT8" s="12">
        <v>0</v>
      </c>
      <c r="AU8" s="12"/>
    </row>
    <row r="9" spans="1:47" x14ac:dyDescent="0.35">
      <c r="A9" s="14" t="s">
        <v>20</v>
      </c>
      <c r="B9" s="2">
        <v>1.0247999999999999</v>
      </c>
      <c r="E9" s="12" t="s">
        <v>2</v>
      </c>
      <c r="F9" s="12">
        <f>1+5/60</f>
        <v>1.0833333333333333</v>
      </c>
      <c r="G9" s="12">
        <f>114.78+31.534+5.717+1.785</f>
        <v>153.816</v>
      </c>
      <c r="H9" s="12">
        <v>1</v>
      </c>
      <c r="I9" s="12">
        <f t="shared" ref="I9:I15" si="0">(G9+41.342)/101.62*H9</f>
        <v>1.9204684117299744</v>
      </c>
      <c r="J9" s="12">
        <f t="shared" ref="J9:J15" si="1">0.05*I9</f>
        <v>9.6023420586498723E-2</v>
      </c>
      <c r="K9" s="12">
        <f>J9/$B$10*100</f>
        <v>11.332437870115324</v>
      </c>
      <c r="L9" s="12"/>
      <c r="M9" s="12"/>
      <c r="N9" s="12"/>
      <c r="P9" s="12" t="s">
        <v>2</v>
      </c>
      <c r="Q9" s="12">
        <f>1+5/60</f>
        <v>1.0833333333333333</v>
      </c>
      <c r="R9" s="12">
        <f>103.298+27.527+5.609+1.693</f>
        <v>138.12700000000001</v>
      </c>
      <c r="S9" s="12">
        <v>1</v>
      </c>
      <c r="T9" s="12">
        <f>(R9+41.342)/101.62*S9</f>
        <v>1.7660795119071047</v>
      </c>
      <c r="U9" s="12">
        <f>0.05*T9</f>
        <v>8.8303975595355244E-2</v>
      </c>
      <c r="V9" s="12">
        <f>U9/$B$11*100</f>
        <v>10.426597677760313</v>
      </c>
      <c r="W9" s="12"/>
      <c r="X9" s="12"/>
      <c r="Y9" s="12"/>
      <c r="AB9" s="12" t="s">
        <v>2</v>
      </c>
      <c r="AC9" s="12">
        <f>1+5/60</f>
        <v>1.0833333333333333</v>
      </c>
      <c r="AD9" s="12">
        <f>137.097+37.476+7.923+2.438</f>
        <v>184.934</v>
      </c>
      <c r="AE9" s="12">
        <v>1</v>
      </c>
      <c r="AF9" s="12">
        <f>(AD9+41.342)/101.62*AE9</f>
        <v>2.2266876599094667</v>
      </c>
      <c r="AG9" s="12">
        <f>0.05*AF9</f>
        <v>0.11133438299547334</v>
      </c>
      <c r="AH9" s="12">
        <f>AG9/$B$12*100</f>
        <v>12.881687709816966</v>
      </c>
      <c r="AI9" s="12"/>
      <c r="AJ9" s="12"/>
      <c r="AK9" s="12"/>
      <c r="AM9" s="12">
        <f>1+5/60</f>
        <v>1.0833333333333333</v>
      </c>
      <c r="AN9" s="12">
        <f>AVERAGE(K9,V9,AH9)</f>
        <v>11.5469077525642</v>
      </c>
      <c r="AO9" s="12">
        <f>_xlfn.STDEV.P(K9,V9,AH9)</f>
        <v>1.0136944852811784</v>
      </c>
      <c r="AP9" s="12">
        <f>AO9/(SQRT(3))*1.96</f>
        <v>1.14710329654813</v>
      </c>
      <c r="AR9" s="12">
        <f>1+5/60</f>
        <v>1.0833333333333333</v>
      </c>
      <c r="AS9" s="12" t="e">
        <f>AVERAGE(N9,Y9,AK9)</f>
        <v>#DIV/0!</v>
      </c>
      <c r="AT9" s="12" t="e">
        <f>_xlfn.STDEV.P(N9,Y9,AK9)</f>
        <v>#DIV/0!</v>
      </c>
      <c r="AU9" s="12" t="e">
        <f>AT9/(SQRT(3))*1.96</f>
        <v>#DIV/0!</v>
      </c>
    </row>
    <row r="10" spans="1:47" x14ac:dyDescent="0.35">
      <c r="A10" s="14" t="s">
        <v>21</v>
      </c>
      <c r="B10" s="2">
        <f>B7/344.12*290.22</f>
        <v>0.84733242473555737</v>
      </c>
      <c r="E10" s="12" t="s">
        <v>3</v>
      </c>
      <c r="F10" s="12">
        <f t="shared" ref="F10:F15" si="2">F9+1</f>
        <v>2.083333333333333</v>
      </c>
      <c r="G10" s="12">
        <f>714.559+314.285+84.528+32.86</f>
        <v>1146.232</v>
      </c>
      <c r="H10" s="12">
        <v>1</v>
      </c>
      <c r="I10" s="12">
        <f t="shared" si="0"/>
        <v>11.686419996063767</v>
      </c>
      <c r="J10" s="12">
        <f t="shared" si="1"/>
        <v>0.58432099980318841</v>
      </c>
      <c r="K10" s="12">
        <f>J10/$B$10*100</f>
        <v>68.960066055013556</v>
      </c>
      <c r="L10" s="12">
        <v>1009.227</v>
      </c>
      <c r="M10" s="12">
        <f>(L10+13.233)/239.53*0.05</f>
        <v>0.21343046799983301</v>
      </c>
      <c r="N10" s="12">
        <f>M10/$B$13*100</f>
        <v>61.861820020585945</v>
      </c>
      <c r="P10" s="12" t="s">
        <v>3</v>
      </c>
      <c r="Q10" s="12">
        <f>Q9+1</f>
        <v>2.083333333333333</v>
      </c>
      <c r="R10" s="12">
        <f>711.36+300.111+74.823+28.967</f>
        <v>1115.2610000000002</v>
      </c>
      <c r="S10" s="12">
        <v>1</v>
      </c>
      <c r="T10" s="12">
        <f>(R10+41.342)/101.62*S10</f>
        <v>11.381647313520963</v>
      </c>
      <c r="U10" s="12">
        <f>0.05*T10</f>
        <v>0.5690823656760482</v>
      </c>
      <c r="V10" s="12">
        <f>U10/$B$11*100</f>
        <v>67.195081902114666</v>
      </c>
      <c r="W10" s="12">
        <v>940.05399999999997</v>
      </c>
      <c r="X10" s="12">
        <f>(W10+13.233)/239.53*0.05</f>
        <v>0.19899114933411263</v>
      </c>
      <c r="Y10" s="12">
        <f>X10/$B$14*100</f>
        <v>57.705368946451685</v>
      </c>
      <c r="AB10" s="12" t="s">
        <v>3</v>
      </c>
      <c r="AC10" s="12">
        <f>AC9+1</f>
        <v>2.083333333333333</v>
      </c>
      <c r="AD10" s="12">
        <f>823.897+363.388+99.4+40.734</f>
        <v>1327.4190000000001</v>
      </c>
      <c r="AE10" s="12">
        <v>1</v>
      </c>
      <c r="AF10" s="12">
        <f>(AD10+41.342)/101.62*AE10</f>
        <v>13.469405628813227</v>
      </c>
      <c r="AG10" s="12">
        <f>0.05*AF10</f>
        <v>0.67347028144066146</v>
      </c>
      <c r="AH10" s="12">
        <f>AG10/$B$12*100</f>
        <v>77.922323849532361</v>
      </c>
      <c r="AI10" s="12">
        <v>1096.6089999999999</v>
      </c>
      <c r="AJ10" s="12">
        <f>(AI10+13.233)/239.53*0.05</f>
        <v>0.23167077192835969</v>
      </c>
      <c r="AK10" s="12">
        <f>AJ10/$B$14*100</f>
        <v>67.182120476066302</v>
      </c>
      <c r="AM10" s="12">
        <f t="shared" ref="AM10:AM15" si="3">AM9+1</f>
        <v>2.083333333333333</v>
      </c>
      <c r="AN10" s="12">
        <f>AVERAGE(K10,V10,AH10)</f>
        <v>71.359157268886861</v>
      </c>
      <c r="AO10" s="12">
        <f>_xlfn.STDEV.P(K10,V10,AH10)</f>
        <v>4.6964638427205712</v>
      </c>
      <c r="AP10" s="12">
        <f t="shared" ref="AP10:AP15" si="4">AO10/(SQRT(3))*1.96</f>
        <v>5.3145491411147692</v>
      </c>
      <c r="AR10" s="12">
        <f t="shared" ref="AR10:AR15" si="5">AR9+1</f>
        <v>2.083333333333333</v>
      </c>
      <c r="AS10" s="12">
        <f>AVERAGE(N10,Y10,AK10)</f>
        <v>62.249769814367973</v>
      </c>
      <c r="AT10" s="12">
        <f>_xlfn.STDEV.P(N10,Y10,AK10)</f>
        <v>3.8785808117905605</v>
      </c>
      <c r="AU10" s="12">
        <f t="shared" ref="AU10:AU15" si="6">AT10/(SQRT(3))*1.96</f>
        <v>4.3890273644915547</v>
      </c>
    </row>
    <row r="11" spans="1:47" x14ac:dyDescent="0.35">
      <c r="A11" s="14" t="s">
        <v>22</v>
      </c>
      <c r="B11" s="2">
        <f t="shared" ref="B11:B12" si="7">B8/344.12*290.22</f>
        <v>0.84691074043938164</v>
      </c>
      <c r="E11" s="12" t="s">
        <v>4</v>
      </c>
      <c r="F11" s="12">
        <f t="shared" si="2"/>
        <v>3.083333333333333</v>
      </c>
      <c r="G11" s="12">
        <f>831.468+407.793+157.882+68.229</f>
        <v>1465.3720000000001</v>
      </c>
      <c r="H11" s="12">
        <v>1</v>
      </c>
      <c r="I11" s="12">
        <f t="shared" si="0"/>
        <v>14.826943515056092</v>
      </c>
      <c r="J11" s="12">
        <f t="shared" si="1"/>
        <v>0.74134717575280462</v>
      </c>
      <c r="K11" s="12">
        <f>J11/$B$10*100</f>
        <v>87.491892687119872</v>
      </c>
      <c r="L11" s="12">
        <v>1138.5160000000001</v>
      </c>
      <c r="M11" s="12">
        <f t="shared" ref="M11:M15" si="8">(L11+13.233)/239.53*0.05</f>
        <v>0.24041852795056987</v>
      </c>
      <c r="N11" s="12">
        <f>M11/$B$13*100</f>
        <v>69.684182605568751</v>
      </c>
      <c r="P11" s="12" t="s">
        <v>4</v>
      </c>
      <c r="Q11" s="12">
        <f>Q10+1</f>
        <v>3.083333333333333</v>
      </c>
      <c r="R11" s="12">
        <f>845.876+414.391+151.672+65.779</f>
        <v>1477.7180000000001</v>
      </c>
      <c r="S11" s="12">
        <v>1</v>
      </c>
      <c r="T11" s="12">
        <f>(R11+41.342)/101.62*S11</f>
        <v>14.948435347372566</v>
      </c>
      <c r="U11" s="12">
        <f>0.05*T11</f>
        <v>0.74742176736862831</v>
      </c>
      <c r="V11" s="12">
        <f>U11/$B$11*100</f>
        <v>88.252720349356068</v>
      </c>
      <c r="W11" s="12">
        <v>1190.6400000000001</v>
      </c>
      <c r="X11" s="12">
        <f t="shared" ref="X11:X15" si="9">(W11+13.233)/239.53*0.05</f>
        <v>0.25129900221266649</v>
      </c>
      <c r="Y11" s="12">
        <f>X11/$B$14*100</f>
        <v>72.874103632664273</v>
      </c>
      <c r="AB11" s="12" t="s">
        <v>4</v>
      </c>
      <c r="AC11" s="12">
        <f>AC10+1</f>
        <v>3.083333333333333</v>
      </c>
      <c r="AD11" s="12">
        <f>859.66+421.465+170.986+74.728</f>
        <v>1526.8389999999999</v>
      </c>
      <c r="AE11" s="12">
        <v>1</v>
      </c>
      <c r="AF11" s="12">
        <f>(AD11+41.342)/101.62*AE11</f>
        <v>15.431814603424522</v>
      </c>
      <c r="AG11" s="12">
        <f>0.05*AF11</f>
        <v>0.77159073017122615</v>
      </c>
      <c r="AH11" s="12">
        <f>AG11/$B$12*100</f>
        <v>89.275123806627647</v>
      </c>
      <c r="AI11" s="12">
        <v>1228.674</v>
      </c>
      <c r="AJ11" s="12">
        <f t="shared" ref="AJ11:AJ15" si="10">(AI11+13.233)/239.53*0.05</f>
        <v>0.25923830000417486</v>
      </c>
      <c r="AK11" s="12">
        <f>AJ11/$B$14*100</f>
        <v>75.176417628878795</v>
      </c>
      <c r="AM11" s="12">
        <f t="shared" si="3"/>
        <v>3.083333333333333</v>
      </c>
      <c r="AN11" s="12">
        <f>AVERAGE(K11,V11,AH11)</f>
        <v>88.339912281034529</v>
      </c>
      <c r="AO11" s="12">
        <f>_xlfn.STDEV.P(K11,V11,AH11)</f>
        <v>0.7306071133459735</v>
      </c>
      <c r="AP11" s="12">
        <f t="shared" si="4"/>
        <v>0.82675977858182037</v>
      </c>
      <c r="AR11" s="12">
        <f t="shared" si="5"/>
        <v>3.083333333333333</v>
      </c>
      <c r="AS11" s="12">
        <f>AVERAGE(N11,Y11,AK11)</f>
        <v>72.578234622370601</v>
      </c>
      <c r="AT11" s="12">
        <f>_xlfn.STDEV.P(N11,Y11,AK11)</f>
        <v>2.2519347594542616</v>
      </c>
      <c r="AU11" s="12">
        <f t="shared" si="6"/>
        <v>2.5483040735540508</v>
      </c>
    </row>
    <row r="12" spans="1:47" x14ac:dyDescent="0.35">
      <c r="A12" s="14" t="s">
        <v>23</v>
      </c>
      <c r="B12" s="2">
        <f t="shared" si="7"/>
        <v>0.86428413344182264</v>
      </c>
      <c r="E12" s="12" t="s">
        <v>5</v>
      </c>
      <c r="F12" s="12">
        <f t="shared" si="2"/>
        <v>4.083333333333333</v>
      </c>
      <c r="G12" s="12">
        <f>832.447+413.113+198.007+86.89</f>
        <v>1530.4570000000001</v>
      </c>
      <c r="H12" s="12">
        <v>1</v>
      </c>
      <c r="I12" s="12">
        <f t="shared" si="0"/>
        <v>15.467417831135604</v>
      </c>
      <c r="J12" s="12">
        <f t="shared" si="1"/>
        <v>0.77337089155678029</v>
      </c>
      <c r="K12" s="12">
        <f>J12/$B$10*100</f>
        <v>91.271249509676252</v>
      </c>
      <c r="L12" s="12">
        <v>1144.184</v>
      </c>
      <c r="M12" s="12">
        <f t="shared" si="8"/>
        <v>0.24160167828664469</v>
      </c>
      <c r="N12" s="12">
        <f>M12/$B$13*100</f>
        <v>70.027113180727383</v>
      </c>
      <c r="P12" s="12" t="s">
        <v>5</v>
      </c>
      <c r="Q12" s="12">
        <f>Q11+1</f>
        <v>4.083333333333333</v>
      </c>
      <c r="R12" s="12">
        <f>874.25+434.699+200.585+88.547</f>
        <v>1598.0810000000001</v>
      </c>
      <c r="S12" s="12">
        <v>1</v>
      </c>
      <c r="T12" s="12">
        <f>(R12+41.342)/101.62*S12</f>
        <v>16.132877386341274</v>
      </c>
      <c r="U12" s="12">
        <f>0.05*T12</f>
        <v>0.80664386931706378</v>
      </c>
      <c r="V12" s="12">
        <f>U12/$B$11*100</f>
        <v>95.245440965664557</v>
      </c>
      <c r="W12" s="12">
        <v>1204.4549999999999</v>
      </c>
      <c r="X12" s="12">
        <f t="shared" si="9"/>
        <v>0.25418277460025884</v>
      </c>
      <c r="Y12" s="12">
        <f>X12/$B$14*100</f>
        <v>73.710367708430795</v>
      </c>
      <c r="AB12" s="12" t="s">
        <v>5</v>
      </c>
      <c r="AC12" s="12">
        <f>AC11+1</f>
        <v>4.083333333333333</v>
      </c>
      <c r="AD12" s="12">
        <f>873.657+429.32+211.72+93.257</f>
        <v>1607.9540000000002</v>
      </c>
      <c r="AE12" s="12">
        <v>1</v>
      </c>
      <c r="AF12" s="12">
        <f>(AD12+41.342)/101.62*AE12</f>
        <v>16.230033457980714</v>
      </c>
      <c r="AG12" s="12">
        <f>0.05*AF12</f>
        <v>0.81150167289903574</v>
      </c>
      <c r="AH12" s="12">
        <f>AG12/$B$12*100</f>
        <v>93.892927279297339</v>
      </c>
      <c r="AI12" s="12">
        <v>1312.8320000000001</v>
      </c>
      <c r="AJ12" s="12">
        <f t="shared" si="10"/>
        <v>0.27680561933787001</v>
      </c>
      <c r="AK12" s="12">
        <f>AJ12/$B$14*100</f>
        <v>80.270757989961524</v>
      </c>
      <c r="AM12" s="12">
        <f t="shared" si="3"/>
        <v>4.083333333333333</v>
      </c>
      <c r="AN12" s="12">
        <f>AVERAGE(K12,V12,AH12)</f>
        <v>93.469872584879383</v>
      </c>
      <c r="AO12" s="12">
        <f>_xlfn.STDEV.P(K12,V12,AH12)</f>
        <v>1.6498042081944979</v>
      </c>
      <c r="AP12" s="12">
        <f t="shared" si="4"/>
        <v>1.8669292112740907</v>
      </c>
      <c r="AR12" s="12">
        <f t="shared" si="5"/>
        <v>4.083333333333333</v>
      </c>
      <c r="AS12" s="12">
        <f>AVERAGE(N12,Y12,AK12)</f>
        <v>74.669412959706563</v>
      </c>
      <c r="AT12" s="12">
        <f>_xlfn.STDEV.P(N12,Y12,AK12)</f>
        <v>4.2365780680429141</v>
      </c>
      <c r="AU12" s="12">
        <f t="shared" si="6"/>
        <v>4.7941393965337848</v>
      </c>
    </row>
    <row r="13" spans="1:47" x14ac:dyDescent="0.35">
      <c r="A13" s="14" t="s">
        <v>32</v>
      </c>
      <c r="B13" s="2">
        <f>B7/344.12*118.17</f>
        <v>0.34501162094618154</v>
      </c>
      <c r="E13" s="12" t="s">
        <v>6</v>
      </c>
      <c r="F13" s="12">
        <f t="shared" si="2"/>
        <v>5.083333333333333</v>
      </c>
      <c r="G13" s="12">
        <f>833.129+422.346+225.175+99.07</f>
        <v>1579.7199999999998</v>
      </c>
      <c r="H13" s="12">
        <v>1</v>
      </c>
      <c r="I13" s="12">
        <f t="shared" si="0"/>
        <v>15.952194449911433</v>
      </c>
      <c r="J13" s="12">
        <f t="shared" si="1"/>
        <v>0.79760972249557172</v>
      </c>
      <c r="K13" s="12">
        <f>J13/$B$10*100</f>
        <v>94.131854182789766</v>
      </c>
      <c r="L13" s="12">
        <v>1294.0999999999999</v>
      </c>
      <c r="M13" s="12">
        <f t="shared" si="8"/>
        <v>0.27289546194631148</v>
      </c>
      <c r="N13" s="12">
        <f>M13/$B$13*100</f>
        <v>79.09746958606955</v>
      </c>
      <c r="P13" s="12" t="s">
        <v>6</v>
      </c>
      <c r="Q13" s="12">
        <f t="shared" ref="Q13:Q14" si="11">Q12+1</f>
        <v>5.083333333333333</v>
      </c>
      <c r="R13" s="12">
        <f>812.831+409.23+213.432+94.349</f>
        <v>1529.8420000000001</v>
      </c>
      <c r="S13" s="12">
        <v>1</v>
      </c>
      <c r="T13" s="12">
        <f t="shared" ref="T13:T14" si="12">(R13+41.342)/101.62*S13</f>
        <v>15.461365872859675</v>
      </c>
      <c r="U13" s="12">
        <f t="shared" ref="U13:U15" si="13">0.05*T13</f>
        <v>0.77306829364298379</v>
      </c>
      <c r="V13" s="12">
        <f>U13/$B$11*100</f>
        <v>91.280964655367583</v>
      </c>
      <c r="W13" s="12">
        <v>1243.2360000000001</v>
      </c>
      <c r="X13" s="12">
        <f t="shared" si="9"/>
        <v>0.26227800275539603</v>
      </c>
      <c r="Y13" s="12">
        <f>X13/$B$14*100</f>
        <v>76.057899892455481</v>
      </c>
      <c r="AB13" s="12" t="s">
        <v>6</v>
      </c>
      <c r="AC13" s="12">
        <f t="shared" ref="AC13:AC14" si="14">AC12+1</f>
        <v>5.083333333333333</v>
      </c>
      <c r="AD13" s="12">
        <f>844.911+418.281+226.462+100.055</f>
        <v>1589.7090000000001</v>
      </c>
      <c r="AE13" s="12">
        <v>1</v>
      </c>
      <c r="AF13" s="12">
        <f t="shared" ref="AF13:AF14" si="15">(AD13+41.342)/101.62*AE13</f>
        <v>16.050492029128126</v>
      </c>
      <c r="AG13" s="12">
        <f t="shared" ref="AG13:AG15" si="16">0.05*AF13</f>
        <v>0.80252460145640636</v>
      </c>
      <c r="AH13" s="12">
        <f>AG13/$B$12*100</f>
        <v>92.854255956374857</v>
      </c>
      <c r="AI13" s="12">
        <v>1306.001</v>
      </c>
      <c r="AJ13" s="12">
        <f t="shared" si="10"/>
        <v>0.27537970191625266</v>
      </c>
      <c r="AK13" s="12">
        <f>AJ13/$B$14*100</f>
        <v>79.857256730347984</v>
      </c>
      <c r="AM13" s="12">
        <f t="shared" si="3"/>
        <v>5.083333333333333</v>
      </c>
      <c r="AN13" s="12">
        <f>AVERAGE(K13,V13,AH13)</f>
        <v>92.755691598177407</v>
      </c>
      <c r="AO13" s="12">
        <f>_xlfn.STDEV.P(K13,V13,AH13)</f>
        <v>1.1659556806675877</v>
      </c>
      <c r="AP13" s="12">
        <f t="shared" si="4"/>
        <v>1.319403059149346</v>
      </c>
      <c r="AR13" s="12">
        <f t="shared" si="5"/>
        <v>5.083333333333333</v>
      </c>
      <c r="AS13" s="12">
        <f>AVERAGE(N13,Y13,AK13)</f>
        <v>78.337542069624334</v>
      </c>
      <c r="AT13" s="12">
        <f>_xlfn.STDEV.P(N13,Y13,AK13)</f>
        <v>1.6415227621729913</v>
      </c>
      <c r="AU13" s="12">
        <f t="shared" si="6"/>
        <v>1.8575578728980902</v>
      </c>
    </row>
    <row r="14" spans="1:47" x14ac:dyDescent="0.35">
      <c r="A14" s="14" t="s">
        <v>33</v>
      </c>
      <c r="B14" s="2">
        <f t="shared" ref="B14:B15" si="17">B8/344.12*118.17</f>
        <v>0.3448399221201906</v>
      </c>
      <c r="E14" s="12" t="s">
        <v>29</v>
      </c>
      <c r="F14" s="12">
        <f t="shared" si="2"/>
        <v>6.083333333333333</v>
      </c>
      <c r="G14" s="12">
        <f>823.322+413.975+232.722+102.487</f>
        <v>1572.5060000000001</v>
      </c>
      <c r="H14" s="12">
        <v>1</v>
      </c>
      <c r="I14" s="12">
        <f t="shared" si="0"/>
        <v>15.88120448730565</v>
      </c>
      <c r="J14" s="12">
        <f t="shared" si="1"/>
        <v>0.79406022436528256</v>
      </c>
      <c r="K14" s="12">
        <f>J14/$B$10*100</f>
        <v>93.712951515233172</v>
      </c>
      <c r="L14" s="12">
        <v>1276.5630000000001</v>
      </c>
      <c r="M14" s="12">
        <f t="shared" si="8"/>
        <v>0.26923475138813513</v>
      </c>
      <c r="N14" s="12">
        <f>M14/$B$13*100</f>
        <v>78.036429801920534</v>
      </c>
      <c r="P14" s="12" t="s">
        <v>29</v>
      </c>
      <c r="Q14" s="12">
        <f t="shared" si="11"/>
        <v>6.083333333333333</v>
      </c>
      <c r="R14" s="12">
        <f>808.867+409.62+227.433+100.665</f>
        <v>1546.585</v>
      </c>
      <c r="S14" s="12">
        <v>1</v>
      </c>
      <c r="T14" s="12">
        <f t="shared" si="12"/>
        <v>15.626126746703406</v>
      </c>
      <c r="U14" s="12">
        <f t="shared" si="13"/>
        <v>0.7813063373351703</v>
      </c>
      <c r="V14" s="12">
        <f>U14/$B$11*100</f>
        <v>92.2536815308098</v>
      </c>
      <c r="W14" s="12">
        <v>1261.6959999999999</v>
      </c>
      <c r="X14" s="12">
        <f t="shared" si="9"/>
        <v>0.26613138229031852</v>
      </c>
      <c r="Y14" s="12">
        <f>X14/$B$14*100</f>
        <v>77.175339982115247</v>
      </c>
      <c r="AB14" s="12" t="s">
        <v>29</v>
      </c>
      <c r="AC14" s="12">
        <f t="shared" si="14"/>
        <v>6.083333333333333</v>
      </c>
      <c r="AD14" s="12">
        <f>839.895+421.757+238.556+105.229</f>
        <v>1605.4370000000001</v>
      </c>
      <c r="AE14" s="12">
        <v>1</v>
      </c>
      <c r="AF14" s="12">
        <f t="shared" si="15"/>
        <v>16.205264711670932</v>
      </c>
      <c r="AG14" s="12">
        <f t="shared" si="16"/>
        <v>0.81026323558354663</v>
      </c>
      <c r="AH14" s="12">
        <f>AG14/$B$12*100</f>
        <v>93.749636749300308</v>
      </c>
      <c r="AI14" s="12">
        <v>901.37300000000005</v>
      </c>
      <c r="AJ14" s="12">
        <f t="shared" si="10"/>
        <v>0.190916795390974</v>
      </c>
      <c r="AK14" s="12">
        <f>AJ14/$B$14*100</f>
        <v>55.363890067354738</v>
      </c>
      <c r="AM14" s="12">
        <f t="shared" si="3"/>
        <v>6.083333333333333</v>
      </c>
      <c r="AN14" s="12">
        <f>AVERAGE(K14,V14,AH14)</f>
        <v>93.238756598447765</v>
      </c>
      <c r="AO14" s="12">
        <f>_xlfn.STDEV.P(K14,V14,AH14)</f>
        <v>0.69671424953663208</v>
      </c>
      <c r="AP14" s="12">
        <f t="shared" si="4"/>
        <v>0.78840639265571633</v>
      </c>
      <c r="AR14" s="12">
        <f t="shared" si="5"/>
        <v>6.083333333333333</v>
      </c>
      <c r="AS14" s="12">
        <f>AVERAGE(N14,Y14,AK14)</f>
        <v>70.191886617130166</v>
      </c>
      <c r="AT14" s="12">
        <f>_xlfn.STDEV.P(N14,Y14,AK14)</f>
        <v>10.490868415898952</v>
      </c>
      <c r="AU14" s="12">
        <f t="shared" si="6"/>
        <v>11.871535179746317</v>
      </c>
    </row>
    <row r="15" spans="1:47" x14ac:dyDescent="0.35">
      <c r="A15" s="14" t="s">
        <v>34</v>
      </c>
      <c r="B15" s="2">
        <f t="shared" si="17"/>
        <v>0.3519139137510171</v>
      </c>
      <c r="E15" s="12" t="s">
        <v>7</v>
      </c>
      <c r="F15" s="12">
        <f t="shared" si="2"/>
        <v>7.083333333333333</v>
      </c>
      <c r="G15" s="12">
        <f>805.698+411.685+237.797+104.799</f>
        <v>1559.979</v>
      </c>
      <c r="H15" s="12">
        <v>1</v>
      </c>
      <c r="I15" s="12">
        <f t="shared" si="0"/>
        <v>15.757931509545365</v>
      </c>
      <c r="J15" s="12">
        <f t="shared" si="1"/>
        <v>0.78789657547726832</v>
      </c>
      <c r="K15" s="12">
        <f>J15/$B$10*100</f>
        <v>92.9855334785709</v>
      </c>
      <c r="L15" s="12">
        <v>1254.806</v>
      </c>
      <c r="M15" s="12">
        <f t="shared" si="8"/>
        <v>0.26469314908362213</v>
      </c>
      <c r="N15" s="12">
        <f>M15/$B$13*100</f>
        <v>76.720067677057074</v>
      </c>
      <c r="P15" s="12" t="s">
        <v>7</v>
      </c>
      <c r="Q15" s="12">
        <f t="shared" ref="Q15" si="18">Q14+1</f>
        <v>7.083333333333333</v>
      </c>
      <c r="R15" s="12">
        <f>784.106+400.323+229.329+100.62</f>
        <v>1514.3780000000002</v>
      </c>
      <c r="S15" s="12">
        <v>1</v>
      </c>
      <c r="T15" s="12">
        <f t="shared" ref="T15" si="19">(R15+41.342)/101.62*S15</f>
        <v>15.309191104113365</v>
      </c>
      <c r="U15" s="12">
        <f t="shared" si="13"/>
        <v>0.76545955520566833</v>
      </c>
      <c r="V15" s="12">
        <f>U15/$B$11*100</f>
        <v>90.382553751596532</v>
      </c>
      <c r="W15" s="12">
        <v>1211.529</v>
      </c>
      <c r="X15" s="12">
        <f t="shared" si="9"/>
        <v>0.25565941635703249</v>
      </c>
      <c r="Y15" s="12">
        <f>X15/$B$14*100</f>
        <v>74.138578499018706</v>
      </c>
      <c r="AB15" s="12" t="s">
        <v>7</v>
      </c>
      <c r="AC15" s="12">
        <f t="shared" ref="AC15" si="20">AC14+1</f>
        <v>7.083333333333333</v>
      </c>
      <c r="AD15" s="12">
        <f>845.496+421.975+241.705+107.062</f>
        <v>1616.2379999999998</v>
      </c>
      <c r="AE15" s="12">
        <v>1</v>
      </c>
      <c r="AF15" s="12">
        <f t="shared" ref="AF15" si="21">(AD15+41.342)/101.62*AE15</f>
        <v>16.311552843928361</v>
      </c>
      <c r="AG15" s="12">
        <f t="shared" si="16"/>
        <v>0.81557764219641804</v>
      </c>
      <c r="AH15" s="12">
        <f>AG15/$B$12*100</f>
        <v>94.364527895306651</v>
      </c>
      <c r="AI15" s="12">
        <v>905.20699999999999</v>
      </c>
      <c r="AJ15" s="12">
        <f t="shared" si="10"/>
        <v>0.19171711267899638</v>
      </c>
      <c r="AK15" s="12">
        <f>AJ15/$B$14*100</f>
        <v>55.595973778284069</v>
      </c>
      <c r="AM15" s="12">
        <f t="shared" si="3"/>
        <v>7.083333333333333</v>
      </c>
      <c r="AN15" s="12">
        <f>AVERAGE(K15,V15,AH15)</f>
        <v>92.577538375158028</v>
      </c>
      <c r="AO15" s="12">
        <f>_xlfn.STDEV.P(K15,V15,AH15)</f>
        <v>1.6510349327216234</v>
      </c>
      <c r="AP15" s="12">
        <f t="shared" si="4"/>
        <v>1.8683219071826778</v>
      </c>
      <c r="AR15" s="12">
        <f t="shared" si="5"/>
        <v>7.083333333333333</v>
      </c>
      <c r="AS15" s="12">
        <f>AVERAGE(N15,Y15,AK15)</f>
        <v>68.818206651453281</v>
      </c>
      <c r="AT15" s="12">
        <f>_xlfn.STDEV.P(N15,Y15,AK15)</f>
        <v>9.4087407307716031</v>
      </c>
      <c r="AU15" s="12">
        <f t="shared" si="6"/>
        <v>10.646992427546907</v>
      </c>
    </row>
    <row r="20" spans="1:14" ht="23" x14ac:dyDescent="0.35">
      <c r="A20" s="1" t="s">
        <v>44</v>
      </c>
    </row>
    <row r="23" spans="1:14" x14ac:dyDescent="0.35">
      <c r="C23" s="10" t="s">
        <v>43</v>
      </c>
      <c r="D23" s="10" t="s">
        <v>0</v>
      </c>
      <c r="E23" s="10" t="s">
        <v>36</v>
      </c>
      <c r="F23" s="10" t="s">
        <v>8</v>
      </c>
      <c r="G23" s="10" t="s">
        <v>37</v>
      </c>
      <c r="H23" s="10" t="s">
        <v>11</v>
      </c>
      <c r="I23" s="10" t="s">
        <v>38</v>
      </c>
      <c r="J23" s="10" t="s">
        <v>48</v>
      </c>
      <c r="K23" s="10" t="s">
        <v>30</v>
      </c>
      <c r="L23" s="10" t="s">
        <v>31</v>
      </c>
      <c r="M23" s="10" t="s">
        <v>47</v>
      </c>
    </row>
    <row r="24" spans="1:14" x14ac:dyDescent="0.35">
      <c r="A24" s="2" t="s">
        <v>39</v>
      </c>
      <c r="C24" s="12">
        <v>1</v>
      </c>
      <c r="D24" s="12" t="s">
        <v>40</v>
      </c>
      <c r="E24" s="12">
        <f>261.391+116.148+45.403+19.316</f>
        <v>442.25799999999998</v>
      </c>
      <c r="F24" s="12">
        <f>(3.4631/0.792+0.5)/0.5</f>
        <v>9.7452020202020186</v>
      </c>
      <c r="G24" s="12">
        <f t="shared" ref="G24:G28" si="22">(E24+41.342)/101.62*F24</f>
        <v>46.376497706846052</v>
      </c>
      <c r="H24" s="12">
        <f>G24*0.15</f>
        <v>6.9564746560269075</v>
      </c>
      <c r="I24" s="12">
        <f>9.9874/344.12*290.22</f>
        <v>8.4230594792514246</v>
      </c>
      <c r="J24" s="12">
        <f>H24/I24*100</f>
        <v>82.588454624627019</v>
      </c>
      <c r="K24" s="12">
        <f>346.204*F24</f>
        <v>3373.8279202020199</v>
      </c>
      <c r="L24" s="12">
        <f>(K24+13.233)/239.53*0.15</f>
        <v>2.1210668310036445</v>
      </c>
      <c r="M24" s="12">
        <f>L24/(9.9874/344.12*118.17)*100</f>
        <v>61.844999073460151</v>
      </c>
    </row>
    <row r="25" spans="1:14" x14ac:dyDescent="0.35">
      <c r="C25" s="12">
        <v>2</v>
      </c>
      <c r="D25" s="12" t="s">
        <v>41</v>
      </c>
      <c r="E25" s="12">
        <f>548.465+269.206+131.228+56.111</f>
        <v>1005.0100000000001</v>
      </c>
      <c r="F25" s="12">
        <f>(1.5376/0.792+0.5)/0.5</f>
        <v>4.8828282828282834</v>
      </c>
      <c r="G25" s="12">
        <f t="shared" si="22"/>
        <v>50.277082654929544</v>
      </c>
      <c r="H25" s="12">
        <f>G25*0.15</f>
        <v>7.5415623982394315</v>
      </c>
      <c r="I25" s="12">
        <f>9.9874/344.12*290.22</f>
        <v>8.4230594792514246</v>
      </c>
      <c r="J25" s="12">
        <f>H25/I25*100</f>
        <v>89.534716177852118</v>
      </c>
      <c r="K25" s="12">
        <f>780.366*F25</f>
        <v>3810.393175757576</v>
      </c>
      <c r="L25" s="12">
        <f>(K25+13.233)/239.53*0.15</f>
        <v>2.3944555018729865</v>
      </c>
      <c r="M25" s="12">
        <f>L25/(9.9874/344.12*118.17)*100</f>
        <v>69.81632833544694</v>
      </c>
    </row>
    <row r="26" spans="1:14" x14ac:dyDescent="0.35">
      <c r="C26" s="12">
        <v>1</v>
      </c>
      <c r="D26" s="12" t="s">
        <v>42</v>
      </c>
      <c r="E26" s="12">
        <f>581.61+279.142+148.794+62.377</f>
        <v>1071.923</v>
      </c>
      <c r="F26" s="12">
        <f>(1.4702/0.792+0.5)/0.5</f>
        <v>4.7126262626262623</v>
      </c>
      <c r="G26" s="12">
        <f t="shared" si="22"/>
        <v>51.627650819352745</v>
      </c>
      <c r="H26" s="12">
        <f>G26*0.15</f>
        <v>7.7441476229029114</v>
      </c>
      <c r="I26" s="12">
        <f>9.9874/344.12*290.22</f>
        <v>8.4230594792514246</v>
      </c>
      <c r="J26" s="12">
        <f>H26/I26*100</f>
        <v>91.939842547462931</v>
      </c>
      <c r="K26" s="12">
        <f>(316.978+296.5+109.01)*F26</f>
        <v>3404.8159232323233</v>
      </c>
      <c r="L26" s="12">
        <f>(K26+13.233)/239.53*0.15</f>
        <v>2.1404723353435831</v>
      </c>
      <c r="M26" s="12">
        <f>L26/(9.9874/344.12*118.17)*100</f>
        <v>62.410815001737916</v>
      </c>
    </row>
    <row r="27" spans="1:14" x14ac:dyDescent="0.35">
      <c r="C27" s="12">
        <v>2</v>
      </c>
      <c r="D27" s="12">
        <v>9.33</v>
      </c>
      <c r="E27" s="12">
        <f>564.303+274.303+157.462+66.96</f>
        <v>1063.028</v>
      </c>
      <c r="F27" s="12">
        <f>(1.4955/0.792+0.5)/0.5</f>
        <v>4.7765151515151514</v>
      </c>
      <c r="G27" s="12">
        <f t="shared" si="22"/>
        <v>51.909467013174456</v>
      </c>
      <c r="H27" s="12">
        <f>G27*0.15</f>
        <v>7.7864200519761679</v>
      </c>
      <c r="I27" s="12">
        <f>9.9874/344.12*290.22</f>
        <v>8.4230594792514246</v>
      </c>
      <c r="J27" s="12">
        <f>H27/I27*100</f>
        <v>92.441708041555515</v>
      </c>
      <c r="K27" s="12">
        <f>973.981*F27</f>
        <v>4652.2350037878787</v>
      </c>
      <c r="L27" s="12">
        <f>(K27+13.233)/239.53*0.15</f>
        <v>2.9216390454981913</v>
      </c>
      <c r="M27" s="12">
        <f>L27/(9.9874/344.12*118.17)*100</f>
        <v>85.18768075606674</v>
      </c>
    </row>
    <row r="28" spans="1:14" x14ac:dyDescent="0.35">
      <c r="C28" s="12" t="s">
        <v>46</v>
      </c>
      <c r="D28" s="12"/>
      <c r="E28" s="12">
        <f>1512.535+749.355+423.828+185.747</f>
        <v>2871.4650000000001</v>
      </c>
      <c r="F28" s="12">
        <v>1</v>
      </c>
      <c r="G28" s="12">
        <f t="shared" si="22"/>
        <v>28.663717772092109</v>
      </c>
      <c r="H28" s="12">
        <f>G28*0.283</f>
        <v>8.1118321295020657</v>
      </c>
      <c r="I28" s="12">
        <f>9.9874/344.12*290.22</f>
        <v>8.4230594792514246</v>
      </c>
      <c r="J28" s="13">
        <f>H28/I28*100</f>
        <v>96.305055775564597</v>
      </c>
      <c r="K28" s="12">
        <v>2425.6930000000002</v>
      </c>
      <c r="L28" s="12">
        <f>(K28+13.233)/239.53*0.283</f>
        <v>2.8815432638917882</v>
      </c>
      <c r="M28" s="13">
        <f>L28/(9.9874/344.12*118.17)*100</f>
        <v>84.018588137177247</v>
      </c>
    </row>
    <row r="29" spans="1:14" x14ac:dyDescent="0.35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x14ac:dyDescent="0.35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</sheetData>
  <mergeCells count="3">
    <mergeCell ref="E7:K7"/>
    <mergeCell ref="P7:V7"/>
    <mergeCell ref="AB7:A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Kinetics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Manker Lorenz Perry</dc:creator>
  <cp:lastModifiedBy>Manker Lorenz Perry</cp:lastModifiedBy>
  <cp:lastPrinted>2021-01-27T13:20:55Z</cp:lastPrinted>
  <dcterms:created xsi:type="dcterms:W3CDTF">2020-09-09T12:58:17Z</dcterms:created>
  <dcterms:modified xsi:type="dcterms:W3CDTF">2022-04-25T09:54:11Z</dcterms:modified>
</cp:coreProperties>
</file>